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Painopiste" sheetId="1" r:id="rId1"/>
  </sheets>
  <definedNames>
    <definedName name="_xlnm.Print_Area" localSheetId="0">'Painopiste'!$A$1:$J$42</definedName>
  </definedNames>
  <calcPr fullCalcOnLoad="1"/>
</workbook>
</file>

<file path=xl/sharedStrings.xml><?xml version="1.0" encoding="utf-8"?>
<sst xmlns="http://schemas.openxmlformats.org/spreadsheetml/2006/main" count="41" uniqueCount="39">
  <si>
    <t>Weight</t>
  </si>
  <si>
    <t>Arm</t>
  </si>
  <si>
    <t>Moment</t>
  </si>
  <si>
    <t>Weight/Full Fuel</t>
  </si>
  <si>
    <t>Nose Weight</t>
  </si>
  <si>
    <t>Left Main Weight</t>
  </si>
  <si>
    <t>Right Main Weight</t>
  </si>
  <si>
    <t>Minus Fuel</t>
  </si>
  <si>
    <t xml:space="preserve">Empty </t>
  </si>
  <si>
    <t>= Maximum Gross Weight</t>
  </si>
  <si>
    <t>= Wgt,CG 1st point in envelope</t>
  </si>
  <si>
    <t>= Wgt,CG 2nd point in envelope</t>
  </si>
  <si>
    <t>= Wgt,CG 3rd point in envelope</t>
  </si>
  <si>
    <t>= Wgt,CG 4th point in envelope</t>
  </si>
  <si>
    <t>= Aft C.G.</t>
  </si>
  <si>
    <t>= C.G. too far fwd</t>
  </si>
  <si>
    <t>= C.G. fwd of 3nd segment</t>
  </si>
  <si>
    <t>Envelope</t>
  </si>
  <si>
    <t>mass</t>
  </si>
  <si>
    <t>arm</t>
  </si>
  <si>
    <t>= Baggage Maximum,</t>
  </si>
  <si>
    <t>= Fuel Min l, Max l.</t>
  </si>
  <si>
    <t>TL-96 Star</t>
  </si>
  <si>
    <t>kg</t>
  </si>
  <si>
    <t>painopistealue</t>
  </si>
  <si>
    <t>eturaja</t>
  </si>
  <si>
    <t>takaraja</t>
  </si>
  <si>
    <t>mm</t>
  </si>
  <si>
    <t>max lentomassa</t>
  </si>
  <si>
    <t>litraa</t>
  </si>
  <si>
    <t>max matkatavara</t>
  </si>
  <si>
    <t>max polttoaine</t>
  </si>
  <si>
    <t>massa</t>
  </si>
  <si>
    <t>varsi</t>
  </si>
  <si>
    <t>momentti</t>
  </si>
  <si>
    <t>Perusmassa</t>
  </si>
  <si>
    <t>Ohjaaja</t>
  </si>
  <si>
    <t>matkustaja</t>
  </si>
  <si>
    <t>täytä keltaiset ruudut</t>
  </si>
</sst>
</file>

<file path=xl/styles.xml><?xml version="1.0" encoding="utf-8"?>
<styleSheet xmlns="http://schemas.openxmlformats.org/spreadsheetml/2006/main">
  <numFmts count="3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;\(0\)"/>
    <numFmt numFmtId="181" formatCode="0;\(0\);"/>
    <numFmt numFmtId="182" formatCode="0.00;\(0.00\);"/>
    <numFmt numFmtId="183" formatCode="#,##0_);\(#,##0\);"/>
    <numFmt numFmtId="184" formatCode="#,##0_);\(#,##0.0\);"/>
    <numFmt numFmtId="185" formatCode="#,##0_);\(#,##0.00\);"/>
    <numFmt numFmtId="186" formatCode="#,##0_);\(#,##0.000\);"/>
    <numFmt numFmtId="187" formatCode="#,##0_);\(#,##0.0000\);"/>
    <numFmt numFmtId="188" formatCode="#,##0_);\(#,##0.00000\);"/>
    <numFmt numFmtId="189" formatCode="0.0000"/>
    <numFmt numFmtId="190" formatCode="0.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21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Arial"/>
      <family val="2"/>
    </font>
    <font>
      <sz val="8"/>
      <color indexed="37"/>
      <name val="Arial"/>
      <family val="2"/>
    </font>
    <font>
      <b/>
      <sz val="8"/>
      <color indexed="18"/>
      <name val="Arial"/>
      <family val="2"/>
    </font>
    <font>
      <sz val="6"/>
      <name val="MS Sans Serif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sz val="10"/>
      <color indexed="18"/>
      <name val="MS Sans Serif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/>
      <protection/>
    </xf>
    <xf numFmtId="1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181" fontId="6" fillId="0" borderId="0" xfId="0" applyNumberFormat="1" applyFont="1" applyAlignment="1" applyProtection="1">
      <alignment/>
      <protection/>
    </xf>
    <xf numFmtId="181" fontId="6" fillId="0" borderId="2" xfId="0" applyNumberFormat="1" applyFont="1" applyBorder="1" applyAlignment="1" applyProtection="1">
      <alignment horizontal="left"/>
      <protection/>
    </xf>
    <xf numFmtId="181" fontId="6" fillId="0" borderId="0" xfId="0" applyNumberFormat="1" applyFont="1" applyBorder="1" applyAlignment="1" applyProtection="1">
      <alignment horizontal="left"/>
      <protection/>
    </xf>
    <xf numFmtId="181" fontId="6" fillId="0" borderId="2" xfId="0" applyNumberFormat="1" applyFont="1" applyBorder="1" applyAlignment="1" applyProtection="1">
      <alignment/>
      <protection/>
    </xf>
    <xf numFmtId="182" fontId="6" fillId="0" borderId="2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1" fontId="6" fillId="0" borderId="3" xfId="0" applyNumberFormat="1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181" fontId="7" fillId="0" borderId="4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181" fontId="9" fillId="0" borderId="4" xfId="0" applyNumberFormat="1" applyFont="1" applyBorder="1" applyAlignment="1" applyProtection="1">
      <alignment/>
      <protection/>
    </xf>
    <xf numFmtId="182" fontId="9" fillId="0" borderId="4" xfId="0" applyNumberFormat="1" applyFont="1" applyBorder="1" applyAlignment="1" applyProtection="1">
      <alignment/>
      <protection/>
    </xf>
    <xf numFmtId="0" fontId="16" fillId="0" borderId="4" xfId="0" applyFont="1" applyBorder="1" applyAlignment="1" applyProtection="1">
      <alignment/>
      <protection/>
    </xf>
    <xf numFmtId="181" fontId="16" fillId="0" borderId="4" xfId="0" applyNumberFormat="1" applyFont="1" applyBorder="1" applyAlignment="1" applyProtection="1">
      <alignment/>
      <protection/>
    </xf>
    <xf numFmtId="182" fontId="16" fillId="0" borderId="4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2" fontId="6" fillId="0" borderId="3" xfId="0" applyNumberFormat="1" applyFont="1" applyBorder="1" applyAlignment="1" applyProtection="1">
      <alignment/>
      <protection/>
    </xf>
    <xf numFmtId="2" fontId="7" fillId="0" borderId="4" xfId="0" applyNumberFormat="1" applyFont="1" applyBorder="1" applyAlignment="1" applyProtection="1">
      <alignment/>
      <protection/>
    </xf>
    <xf numFmtId="2" fontId="9" fillId="0" borderId="4" xfId="0" applyNumberFormat="1" applyFont="1" applyBorder="1" applyAlignment="1" applyProtection="1">
      <alignment/>
      <protection/>
    </xf>
    <xf numFmtId="2" fontId="16" fillId="0" borderId="4" xfId="0" applyNumberFormat="1" applyFont="1" applyBorder="1" applyAlignment="1" applyProtection="1">
      <alignment/>
      <protection/>
    </xf>
    <xf numFmtId="2" fontId="6" fillId="0" borderId="2" xfId="0" applyNumberFormat="1" applyFont="1" applyBorder="1" applyAlignment="1" applyProtection="1">
      <alignment/>
      <protection/>
    </xf>
    <xf numFmtId="181" fontId="17" fillId="2" borderId="4" xfId="0" applyNumberFormat="1" applyFont="1" applyFill="1" applyBorder="1" applyAlignment="1" applyProtection="1">
      <alignment/>
      <protection locked="0"/>
    </xf>
    <xf numFmtId="181" fontId="13" fillId="2" borderId="3" xfId="0" applyNumberFormat="1" applyFont="1" applyFill="1" applyBorder="1" applyAlignment="1" applyProtection="1">
      <alignment/>
      <protection locked="0"/>
    </xf>
    <xf numFmtId="182" fontId="13" fillId="2" borderId="3" xfId="0" applyNumberFormat="1" applyFont="1" applyFill="1" applyBorder="1" applyAlignment="1" applyProtection="1">
      <alignment/>
      <protection locked="0"/>
    </xf>
    <xf numFmtId="182" fontId="17" fillId="2" borderId="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89" fontId="6" fillId="0" borderId="0" xfId="0" applyNumberFormat="1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81" fontId="6" fillId="0" borderId="7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right"/>
      <protection/>
    </xf>
    <xf numFmtId="0" fontId="17" fillId="0" borderId="4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181" fontId="20" fillId="2" borderId="11" xfId="0" applyNumberFormat="1" applyFont="1" applyFill="1" applyBorder="1" applyAlignment="1" applyProtection="1">
      <alignment/>
      <protection locked="0"/>
    </xf>
    <xf numFmtId="182" fontId="20" fillId="2" borderId="11" xfId="0" applyNumberFormat="1" applyFont="1" applyFill="1" applyBorder="1" applyAlignment="1" applyProtection="1">
      <alignment/>
      <protection locked="0"/>
    </xf>
    <xf numFmtId="0" fontId="21" fillId="0" borderId="4" xfId="0" applyFont="1" applyBorder="1" applyAlignment="1" applyProtection="1">
      <alignment/>
      <protection/>
    </xf>
    <xf numFmtId="181" fontId="21" fillId="2" borderId="4" xfId="0" applyNumberFormat="1" applyFont="1" applyFill="1" applyBorder="1" applyAlignment="1" applyProtection="1">
      <alignment/>
      <protection locked="0"/>
    </xf>
    <xf numFmtId="182" fontId="21" fillId="2" borderId="4" xfId="0" applyNumberFormat="1" applyFont="1" applyFill="1" applyBorder="1" applyAlignment="1" applyProtection="1">
      <alignment/>
      <protection locked="0"/>
    </xf>
    <xf numFmtId="181" fontId="19" fillId="0" borderId="11" xfId="0" applyNumberFormat="1" applyFont="1" applyBorder="1" applyAlignment="1" applyProtection="1">
      <alignment/>
      <protection/>
    </xf>
    <xf numFmtId="2" fontId="19" fillId="0" borderId="11" xfId="0" applyNumberFormat="1" applyFont="1" applyBorder="1" applyAlignment="1" applyProtection="1">
      <alignment/>
      <protection/>
    </xf>
    <xf numFmtId="0" fontId="22" fillId="0" borderId="4" xfId="0" applyFont="1" applyBorder="1" applyAlignment="1" applyProtection="1">
      <alignment/>
      <protection/>
    </xf>
    <xf numFmtId="0" fontId="23" fillId="0" borderId="4" xfId="0" applyFont="1" applyBorder="1" applyAlignment="1" applyProtection="1">
      <alignment/>
      <protection/>
    </xf>
    <xf numFmtId="181" fontId="22" fillId="2" borderId="4" xfId="0" applyNumberFormat="1" applyFont="1" applyFill="1" applyBorder="1" applyAlignment="1" applyProtection="1">
      <alignment/>
      <protection locked="0"/>
    </xf>
    <xf numFmtId="181" fontId="23" fillId="0" borderId="4" xfId="0" applyNumberFormat="1" applyFont="1" applyBorder="1" applyAlignment="1" applyProtection="1">
      <alignment/>
      <protection/>
    </xf>
    <xf numFmtId="182" fontId="22" fillId="2" borderId="4" xfId="0" applyNumberFormat="1" applyFont="1" applyFill="1" applyBorder="1" applyAlignment="1" applyProtection="1">
      <alignment/>
      <protection locked="0"/>
    </xf>
    <xf numFmtId="2" fontId="23" fillId="0" borderId="4" xfId="0" applyNumberFormat="1" applyFont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MS Sans Serif"/>
                <a:ea typeface="MS Sans Serif"/>
                <a:cs typeface="MS Sans Serif"/>
              </a:rPr>
              <a:t>Painopisteen asemaan vaikuttavat massat.</a:t>
            </a:r>
          </a:p>
        </c:rich>
      </c:tx>
      <c:layout>
        <c:manualLayout>
          <c:xMode val="factor"/>
          <c:yMode val="factor"/>
          <c:x val="0.037"/>
          <c:y val="0.87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"/>
          <c:w val="0.93075"/>
          <c:h val="0.769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Painopiste!$P$6:$P$12</c:f>
            </c:numRef>
          </c:xVal>
          <c:yVal>
            <c:numRef>
              <c:f>Painopiste!$O$6:$O$12</c:f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Painopiste!$M$14:$M$18</c:f>
            </c:numRef>
          </c:xVal>
          <c:yVal>
            <c:numRef>
              <c:f>Painopiste!$L$14:$L$18</c:f>
            </c:numRef>
          </c:yVal>
          <c:smooth val="0"/>
        </c:ser>
        <c:ser>
          <c:idx val="2"/>
          <c:order val="2"/>
          <c:tx>
            <c:v>Basic Empty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Painopiste!$M$5:$M$6</c:f>
            </c:numRef>
          </c:xVal>
          <c:yVal>
            <c:numRef>
              <c:f>Painopiste!$L$5:$L$6</c:f>
            </c:numRef>
          </c:yVal>
          <c:smooth val="0"/>
        </c:ser>
        <c:ser>
          <c:idx val="3"/>
          <c:order val="3"/>
          <c:tx>
            <c:v>Pilot, Co-Pilot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339933"/>
                </a:solidFill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Painopiste!$M$6:$M$8</c:f>
            </c:numRef>
          </c:xVal>
          <c:yVal>
            <c:numRef>
              <c:f>Painopiste!$L$6:$L$8</c:f>
            </c:numRef>
          </c:yVal>
          <c:smooth val="0"/>
        </c:ser>
        <c:ser>
          <c:idx val="4"/>
          <c:order val="4"/>
          <c:tx>
            <c:v>Passengers AFt Facing Center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Painopiste!$M$8:$M$10</c:f>
            </c:numRef>
          </c:xVal>
          <c:yVal>
            <c:numRef>
              <c:f>Painopiste!$L$8:$L$10</c:f>
            </c:numRef>
          </c:yVal>
          <c:smooth val="0"/>
        </c:ser>
        <c:ser>
          <c:idx val="5"/>
          <c:order val="5"/>
          <c:tx>
            <c:v>Passengers Rear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Painopiste!$M$10:$M$12</c:f>
            </c:numRef>
          </c:xVal>
          <c:yVal>
            <c:numRef>
              <c:f>Painopiste!$L$10:$L$12</c:f>
            </c:numRef>
          </c:yVal>
          <c:smooth val="0"/>
        </c:ser>
        <c:ser>
          <c:idx val="6"/>
          <c:order val="6"/>
          <c:tx>
            <c:v>Baggage Forward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Painopiste!$M$12:$M$13</c:f>
            </c:numRef>
          </c:xVal>
          <c:yVal>
            <c:numRef>
              <c:f>Painopiste!$L$12:$L$13</c:f>
            </c:numRef>
          </c:yVal>
          <c:smooth val="0"/>
        </c:ser>
        <c:ser>
          <c:idx val="7"/>
          <c:order val="7"/>
          <c:tx>
            <c:v>Baggage Aft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Painopiste!$M$13:$M$14</c:f>
            </c:numRef>
          </c:xVal>
          <c:yVal>
            <c:numRef>
              <c:f>Painopiste!$L$13:$L$14</c:f>
            </c:numRef>
          </c:yVal>
          <c:smooth val="0"/>
        </c:ser>
        <c:axId val="48334925"/>
        <c:axId val="24374250"/>
      </c:scatterChart>
      <c:valAx>
        <c:axId val="48334925"/>
        <c:scaling>
          <c:orientation val="minMax"/>
          <c:max val="0.47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P.P. asema (metriä perustasosta)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374250"/>
        <c:crossesAt val="77"/>
        <c:crossBetween val="midCat"/>
        <c:dispUnits/>
        <c:majorUnit val="0.025"/>
        <c:minorUnit val="0.005"/>
      </c:valAx>
      <c:valAx>
        <c:axId val="24374250"/>
        <c:scaling>
          <c:orientation val="minMax"/>
          <c:max val="48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Lentomassa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low"/>
        <c:crossAx val="48334925"/>
        <c:crossesAt val="76"/>
        <c:crossBetween val="midCat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2581275</xdr:colOff>
      <xdr:row>20</xdr:row>
      <xdr:rowOff>104775</xdr:rowOff>
    </xdr:to>
    <xdr:graphicFrame>
      <xdr:nvGraphicFramePr>
        <xdr:cNvPr id="1" name="Chart 3"/>
        <xdr:cNvGraphicFramePr/>
      </xdr:nvGraphicFramePr>
      <xdr:xfrm>
        <a:off x="19050" y="19050"/>
        <a:ext cx="25622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32</xdr:row>
      <xdr:rowOff>133350</xdr:rowOff>
    </xdr:from>
    <xdr:to>
      <xdr:col>1</xdr:col>
      <xdr:colOff>333375</xdr:colOff>
      <xdr:row>35</xdr:row>
      <xdr:rowOff>152400</xdr:rowOff>
    </xdr:to>
    <xdr:sp>
      <xdr:nvSpPr>
        <xdr:cNvPr id="2" name="TextBox 108"/>
        <xdr:cNvSpPr txBox="1">
          <a:spLocks noChangeArrowheads="1"/>
        </xdr:cNvSpPr>
      </xdr:nvSpPr>
      <xdr:spPr>
        <a:xfrm>
          <a:off x="209550" y="4714875"/>
          <a:ext cx="27622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Jos graafissa asteikot ovat väärin. Poista taulukon suojaus (ei salasanaa) ja muuta asteikon min/max asetukset klikkaamalla asteikkoa ja muuttamalla asetusta.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tabSelected="1" showOutlineSymbols="0" zoomScale="125" zoomScaleNormal="125" workbookViewId="0" topLeftCell="A1">
      <selection activeCell="A27" sqref="A27"/>
    </sheetView>
  </sheetViews>
  <sheetFormatPr defaultColWidth="9.140625" defaultRowHeight="12.75"/>
  <cols>
    <col min="1" max="1" width="39.57421875" style="2" customWidth="1"/>
    <col min="2" max="2" width="19.28125" style="2" customWidth="1"/>
    <col min="3" max="3" width="1.421875" style="2" customWidth="1"/>
    <col min="4" max="4" width="4.421875" style="2" customWidth="1"/>
    <col min="5" max="5" width="1.7109375" style="2" customWidth="1"/>
    <col min="6" max="6" width="6.421875" style="2" customWidth="1"/>
    <col min="7" max="7" width="1.1484375" style="2" customWidth="1"/>
    <col min="8" max="8" width="5.7109375" style="2" customWidth="1"/>
    <col min="9" max="9" width="2.140625" style="2" customWidth="1"/>
    <col min="10" max="10" width="7.57421875" style="2" customWidth="1"/>
    <col min="11" max="11" width="2.28125" style="2" customWidth="1"/>
    <col min="12" max="12" width="6.57421875" style="2" hidden="1" customWidth="1"/>
    <col min="13" max="13" width="14.140625" style="2" hidden="1" customWidth="1"/>
    <col min="14" max="14" width="8.28125" style="2" hidden="1" customWidth="1"/>
    <col min="15" max="15" width="4.421875" style="2" hidden="1" customWidth="1"/>
    <col min="16" max="16" width="6.421875" style="2" hidden="1" customWidth="1"/>
    <col min="17" max="17" width="4.421875" style="2" hidden="1" customWidth="1"/>
    <col min="18" max="18" width="2.7109375" style="2" hidden="1" customWidth="1"/>
    <col min="19" max="19" width="9.140625" style="2" hidden="1" customWidth="1"/>
    <col min="20" max="20" width="14.8515625" style="2" hidden="1" customWidth="1"/>
    <col min="21" max="23" width="9.140625" style="2" hidden="1" customWidth="1"/>
    <col min="24" max="25" width="0" style="2" hidden="1" customWidth="1"/>
    <col min="26" max="16384" width="9.140625" style="2" customWidth="1"/>
  </cols>
  <sheetData>
    <row r="1" spans="1:10" ht="18">
      <c r="A1" s="81"/>
      <c r="B1" s="1"/>
      <c r="C1" s="78"/>
      <c r="D1" s="78"/>
      <c r="E1" s="79" t="s">
        <v>22</v>
      </c>
      <c r="F1" s="80"/>
      <c r="G1" s="52"/>
      <c r="H1" s="1"/>
      <c r="I1" s="1"/>
      <c r="J1" s="1"/>
    </row>
    <row r="2" spans="1:10" ht="7.5" customHeight="1">
      <c r="A2" s="81"/>
      <c r="B2" s="1"/>
      <c r="C2" s="1"/>
      <c r="D2" s="1"/>
      <c r="E2" s="18"/>
      <c r="F2" s="52"/>
      <c r="G2" s="52"/>
      <c r="H2" s="1"/>
      <c r="I2" s="1"/>
      <c r="J2" s="1"/>
    </row>
    <row r="3" spans="1:10" ht="9.75" customHeight="1">
      <c r="A3" s="81"/>
      <c r="B3" s="1"/>
      <c r="C3" s="1"/>
      <c r="D3" s="1"/>
      <c r="E3" s="19"/>
      <c r="F3" s="52"/>
      <c r="G3" s="52"/>
      <c r="H3" s="1"/>
      <c r="I3" s="1"/>
      <c r="J3" s="1"/>
    </row>
    <row r="4" spans="1:18" ht="11.25">
      <c r="A4" s="81"/>
      <c r="B4" s="1"/>
      <c r="C4" s="1"/>
      <c r="D4" s="1"/>
      <c r="E4" s="1"/>
      <c r="F4" s="1"/>
      <c r="G4" s="1"/>
      <c r="H4" s="1"/>
      <c r="I4" s="1"/>
      <c r="J4" s="1"/>
      <c r="O4" s="36" t="s">
        <v>17</v>
      </c>
      <c r="P4" s="37"/>
      <c r="Q4" s="39"/>
      <c r="R4" s="39"/>
    </row>
    <row r="5" spans="1:23" ht="11.25">
      <c r="A5" s="82"/>
      <c r="B5" s="3"/>
      <c r="C5" s="3"/>
      <c r="D5" s="13"/>
      <c r="F5" s="13" t="s">
        <v>32</v>
      </c>
      <c r="G5" s="14"/>
      <c r="H5" s="13" t="s">
        <v>33</v>
      </c>
      <c r="I5" s="14"/>
      <c r="J5" s="13" t="s">
        <v>34</v>
      </c>
      <c r="K5" s="4"/>
      <c r="L5" s="5">
        <v>200</v>
      </c>
      <c r="M5" s="5">
        <f>M6</f>
        <v>0.32</v>
      </c>
      <c r="O5" s="38" t="s">
        <v>18</v>
      </c>
      <c r="P5" s="40" t="s">
        <v>19</v>
      </c>
      <c r="Q5" s="39"/>
      <c r="R5" s="39"/>
      <c r="T5" s="3" t="s">
        <v>3</v>
      </c>
      <c r="U5" s="20" t="s">
        <v>0</v>
      </c>
      <c r="V5" s="20" t="s">
        <v>1</v>
      </c>
      <c r="W5" s="20" t="s">
        <v>2</v>
      </c>
    </row>
    <row r="6" spans="1:23" ht="11.25">
      <c r="A6" s="82"/>
      <c r="B6" s="26" t="s">
        <v>35</v>
      </c>
      <c r="C6" s="26"/>
      <c r="D6" s="49">
        <v>288</v>
      </c>
      <c r="E6" s="27"/>
      <c r="F6" s="27">
        <f aca="true" t="shared" si="0" ref="F6:F12">D6</f>
        <v>288</v>
      </c>
      <c r="G6" s="27"/>
      <c r="H6" s="50">
        <v>0.32</v>
      </c>
      <c r="I6" s="27"/>
      <c r="J6" s="43">
        <f>H6*D6</f>
        <v>92.16</v>
      </c>
      <c r="K6" s="5"/>
      <c r="L6" s="2">
        <f>F6</f>
        <v>288</v>
      </c>
      <c r="M6" s="5">
        <f aca="true" t="shared" si="1" ref="M6:M13">N6/L6</f>
        <v>0.32</v>
      </c>
      <c r="N6" s="5">
        <f>J6</f>
        <v>92.16</v>
      </c>
      <c r="O6" s="56">
        <f>D6</f>
        <v>288</v>
      </c>
      <c r="P6" s="40">
        <f>D26/1000</f>
        <v>0.354</v>
      </c>
      <c r="Q6" s="39">
        <v>1400</v>
      </c>
      <c r="R6" s="39">
        <v>70</v>
      </c>
      <c r="T6" s="2" t="s">
        <v>4</v>
      </c>
      <c r="U6" s="2">
        <v>25</v>
      </c>
      <c r="V6" s="2">
        <v>4.69</v>
      </c>
      <c r="W6" s="2">
        <f>U6*V6</f>
        <v>117.25000000000001</v>
      </c>
    </row>
    <row r="7" spans="1:23" ht="11.25">
      <c r="A7" s="82"/>
      <c r="B7" s="59" t="s">
        <v>36</v>
      </c>
      <c r="C7" s="28"/>
      <c r="D7" s="48">
        <v>85</v>
      </c>
      <c r="E7" s="29"/>
      <c r="F7" s="29">
        <f>D7</f>
        <v>85</v>
      </c>
      <c r="G7" s="29"/>
      <c r="H7" s="51">
        <v>0.517</v>
      </c>
      <c r="I7" s="29"/>
      <c r="J7" s="44">
        <f aca="true" t="shared" si="2" ref="J7:J12">F7*H7</f>
        <v>43.945</v>
      </c>
      <c r="K7" s="6"/>
      <c r="L7" s="2">
        <f aca="true" t="shared" si="3" ref="L7:L13">F7+L6</f>
        <v>373</v>
      </c>
      <c r="M7" s="5">
        <f t="shared" si="1"/>
        <v>0.36489276139410187</v>
      </c>
      <c r="N7" s="5">
        <f aca="true" t="shared" si="4" ref="N7:N13">J7+N6</f>
        <v>136.105</v>
      </c>
      <c r="O7" s="38">
        <f>D22</f>
        <v>400</v>
      </c>
      <c r="P7" s="40">
        <f>D26/1000</f>
        <v>0.354</v>
      </c>
      <c r="Q7" s="39">
        <v>1800</v>
      </c>
      <c r="R7" s="39">
        <v>76</v>
      </c>
      <c r="T7" s="2" t="s">
        <v>5</v>
      </c>
      <c r="U7" s="2">
        <v>125</v>
      </c>
      <c r="V7" s="2">
        <v>-0.04</v>
      </c>
      <c r="W7" s="2">
        <f>U7*V7</f>
        <v>-5</v>
      </c>
    </row>
    <row r="8" spans="1:23" ht="11.25">
      <c r="A8" s="82"/>
      <c r="B8" s="68" t="s">
        <v>37</v>
      </c>
      <c r="C8" s="69"/>
      <c r="D8" s="70">
        <v>0</v>
      </c>
      <c r="E8" s="71"/>
      <c r="F8" s="71">
        <f t="shared" si="0"/>
        <v>0</v>
      </c>
      <c r="G8" s="71"/>
      <c r="H8" s="72">
        <v>0.517</v>
      </c>
      <c r="I8" s="71"/>
      <c r="J8" s="73">
        <f t="shared" si="2"/>
        <v>0</v>
      </c>
      <c r="K8" s="6"/>
      <c r="L8" s="2">
        <f t="shared" si="3"/>
        <v>373</v>
      </c>
      <c r="M8" s="5">
        <f t="shared" si="1"/>
        <v>0.36489276139410187</v>
      </c>
      <c r="N8" s="5">
        <f t="shared" si="4"/>
        <v>136.105</v>
      </c>
      <c r="O8" s="38">
        <f>D22</f>
        <v>400</v>
      </c>
      <c r="P8" s="40">
        <f>D27/1000</f>
        <v>0.422</v>
      </c>
      <c r="Q8" s="39">
        <v>2200</v>
      </c>
      <c r="R8" s="39">
        <v>78</v>
      </c>
      <c r="T8" s="2" t="s">
        <v>6</v>
      </c>
      <c r="U8" s="2">
        <v>133</v>
      </c>
      <c r="V8" s="2">
        <v>-0.04</v>
      </c>
      <c r="W8" s="2">
        <f>U8*V8</f>
        <v>-5.32</v>
      </c>
    </row>
    <row r="9" spans="1:23" ht="11.25">
      <c r="A9" s="82"/>
      <c r="B9" s="30"/>
      <c r="C9" s="30"/>
      <c r="D9" s="31"/>
      <c r="E9" s="31"/>
      <c r="F9" s="31"/>
      <c r="G9" s="31"/>
      <c r="H9" s="32"/>
      <c r="I9" s="31"/>
      <c r="J9" s="45"/>
      <c r="K9" s="7"/>
      <c r="L9" s="2">
        <f t="shared" si="3"/>
        <v>373</v>
      </c>
      <c r="M9" s="5">
        <f t="shared" si="1"/>
        <v>0.36489276139410187</v>
      </c>
      <c r="N9" s="5">
        <f t="shared" si="4"/>
        <v>136.105</v>
      </c>
      <c r="O9" s="56">
        <f>D6</f>
        <v>288</v>
      </c>
      <c r="P9" s="40">
        <f>D27/1000</f>
        <v>0.422</v>
      </c>
      <c r="Q9" s="39">
        <v>2600</v>
      </c>
      <c r="R9" s="39">
        <v>80</v>
      </c>
      <c r="T9" s="2" t="s">
        <v>7</v>
      </c>
      <c r="U9" s="2">
        <v>0</v>
      </c>
      <c r="V9" s="5">
        <f>H13</f>
        <v>-0.226</v>
      </c>
      <c r="W9" s="2">
        <f>U9*V9</f>
        <v>0</v>
      </c>
    </row>
    <row r="10" spans="1:23" ht="11.25">
      <c r="A10" s="82"/>
      <c r="B10" s="30"/>
      <c r="C10" s="30"/>
      <c r="D10" s="31"/>
      <c r="E10" s="31"/>
      <c r="F10" s="31"/>
      <c r="G10" s="31"/>
      <c r="H10" s="32"/>
      <c r="I10" s="31"/>
      <c r="J10" s="45"/>
      <c r="K10" s="7"/>
      <c r="L10" s="2">
        <f t="shared" si="3"/>
        <v>373</v>
      </c>
      <c r="M10" s="5">
        <f t="shared" si="1"/>
        <v>0.36489276139410187</v>
      </c>
      <c r="N10" s="5">
        <f t="shared" si="4"/>
        <v>136.105</v>
      </c>
      <c r="O10" s="38"/>
      <c r="P10" s="40"/>
      <c r="Q10" s="39">
        <v>3000</v>
      </c>
      <c r="R10" s="39">
        <v>82</v>
      </c>
      <c r="T10" s="2" t="s">
        <v>8</v>
      </c>
      <c r="U10" s="2">
        <f>SUM(U6:U9)</f>
        <v>283</v>
      </c>
      <c r="V10" s="5">
        <f>W10/U10</f>
        <v>0.3778445229681979</v>
      </c>
      <c r="W10" s="2">
        <f>SUM(W6:W9)</f>
        <v>106.93</v>
      </c>
    </row>
    <row r="11" spans="1:18" ht="11.25">
      <c r="A11" s="82"/>
      <c r="B11" s="33"/>
      <c r="C11" s="33"/>
      <c r="D11" s="34"/>
      <c r="E11" s="34"/>
      <c r="F11" s="34"/>
      <c r="G11" s="34"/>
      <c r="H11" s="35"/>
      <c r="I11" s="34"/>
      <c r="J11" s="46"/>
      <c r="K11" s="8"/>
      <c r="L11" s="2">
        <f t="shared" si="3"/>
        <v>373</v>
      </c>
      <c r="M11" s="5">
        <f t="shared" si="1"/>
        <v>0.36489276139410187</v>
      </c>
      <c r="N11" s="5">
        <f t="shared" si="4"/>
        <v>136.105</v>
      </c>
      <c r="O11" s="38"/>
      <c r="P11" s="40"/>
      <c r="Q11" s="39">
        <v>3400</v>
      </c>
      <c r="R11" s="39">
        <v>84</v>
      </c>
    </row>
    <row r="12" spans="1:18" ht="11.25">
      <c r="A12" s="82"/>
      <c r="B12" s="63" t="str">
        <f>CONCATENATE("matkatavara (",VALUE(M20)," kg Max)")</f>
        <v>matkatavara (5 kg Max)</v>
      </c>
      <c r="C12" s="33"/>
      <c r="D12" s="64">
        <v>5</v>
      </c>
      <c r="E12" s="31"/>
      <c r="F12" s="31">
        <f t="shared" si="0"/>
        <v>5</v>
      </c>
      <c r="G12" s="31"/>
      <c r="H12" s="65">
        <v>1.2</v>
      </c>
      <c r="I12" s="31"/>
      <c r="J12" s="45">
        <f t="shared" si="2"/>
        <v>6</v>
      </c>
      <c r="K12" s="8"/>
      <c r="L12" s="2">
        <f t="shared" si="3"/>
        <v>378</v>
      </c>
      <c r="M12" s="5">
        <f t="shared" si="1"/>
        <v>0.3759391534391534</v>
      </c>
      <c r="N12" s="5">
        <f t="shared" si="4"/>
        <v>142.105</v>
      </c>
      <c r="O12" s="41"/>
      <c r="P12" s="42"/>
      <c r="Q12" s="39">
        <v>3800</v>
      </c>
      <c r="R12" s="39">
        <v>86</v>
      </c>
    </row>
    <row r="13" spans="1:18" ht="11.25">
      <c r="A13" s="82"/>
      <c r="B13" s="60" t="str">
        <f>CONCATENATE("Polttoaine litraa (",VALUE(M21)," Max)")</f>
        <v>Polttoaine litraa (67 Max)</v>
      </c>
      <c r="C13" s="60"/>
      <c r="D13" s="61">
        <v>18</v>
      </c>
      <c r="E13" s="66"/>
      <c r="F13" s="66">
        <f>0.72*D13</f>
        <v>12.959999999999999</v>
      </c>
      <c r="G13" s="66"/>
      <c r="H13" s="62">
        <v>-0.226</v>
      </c>
      <c r="I13" s="66"/>
      <c r="J13" s="67">
        <f>F13*H13</f>
        <v>-2.92896</v>
      </c>
      <c r="K13" s="9"/>
      <c r="L13" s="2">
        <f t="shared" si="3"/>
        <v>390.96</v>
      </c>
      <c r="M13" s="5">
        <f t="shared" si="1"/>
        <v>0.35598536934724784</v>
      </c>
      <c r="N13" s="5">
        <f t="shared" si="4"/>
        <v>139.17604</v>
      </c>
      <c r="O13" s="39"/>
      <c r="P13" s="39"/>
      <c r="Q13" s="39"/>
      <c r="R13" s="39">
        <v>88</v>
      </c>
    </row>
    <row r="14" spans="1:18" ht="11.25">
      <c r="A14" s="82"/>
      <c r="B14" s="12" t="str">
        <f>CONCATENATE("Lentoonlähtömassa (MTO=",VALUE(D22)," kg)")</f>
        <v>Lentoonlähtömassa (MTO=400 kg)</v>
      </c>
      <c r="C14" s="12"/>
      <c r="D14" s="22"/>
      <c r="E14" s="23"/>
      <c r="F14" s="24">
        <f>IF(L13=F6,0,L13)</f>
        <v>390.96</v>
      </c>
      <c r="G14" s="21"/>
      <c r="H14" s="25">
        <f>J14/(F14+(F14=0))</f>
        <v>0.35598536934724784</v>
      </c>
      <c r="I14" s="21"/>
      <c r="J14" s="47">
        <f>IF(SUM(J6:J13)=J6,0,SUM(J6:J13))</f>
        <v>139.17604</v>
      </c>
      <c r="K14" s="10"/>
      <c r="M14" s="5"/>
      <c r="N14" s="5"/>
      <c r="O14" s="39"/>
      <c r="P14" s="39"/>
      <c r="Q14" s="39"/>
      <c r="R14" s="39">
        <v>90</v>
      </c>
    </row>
    <row r="15" spans="1:18" ht="11.25">
      <c r="A15" s="82"/>
      <c r="B15" s="17">
        <f>IF(F14&gt;M19,"Varoitus: Suurin lentomassa ylitetty","")</f>
      </c>
      <c r="H15" s="5"/>
      <c r="I15" s="5"/>
      <c r="J15" s="5"/>
      <c r="K15" s="11"/>
      <c r="M15" s="5"/>
      <c r="N15" s="5"/>
      <c r="O15" s="39"/>
      <c r="P15" s="39"/>
      <c r="Q15" s="39"/>
      <c r="R15" s="39">
        <v>92</v>
      </c>
    </row>
    <row r="16" spans="1:22" ht="11.25">
      <c r="A16" s="82"/>
      <c r="B16" s="17">
        <f>IF(OR((D11&gt;L20),(D12&gt;M20)),"Varoitus: Liikaa matkatavaraa","")&amp;IF(D11&gt;L20," Fwd","")&amp;IF(AND((D11&gt;L20),(D12&gt;M20))," &amp;","")&amp;IF(D12&gt;M20," ","")</f>
      </c>
      <c r="H16" s="5"/>
      <c r="I16" s="5"/>
      <c r="J16" s="5"/>
      <c r="K16" s="5"/>
      <c r="M16" s="5"/>
      <c r="N16" s="5"/>
      <c r="O16" s="39"/>
      <c r="P16" s="39"/>
      <c r="Q16" s="39"/>
      <c r="R16" s="39">
        <v>94</v>
      </c>
      <c r="V16" s="2">
        <v>18</v>
      </c>
    </row>
    <row r="17" spans="1:23" ht="11.25">
      <c r="A17" s="82"/>
      <c r="B17" s="17">
        <f>IF(MAX(M12:M13)&gt;M25,"Varoitus: P.P. liian takana","")&amp;IF(OR(M27,M29),"Varoitus: P.P. Liian edessä","")</f>
      </c>
      <c r="H17" s="5"/>
      <c r="I17" s="5"/>
      <c r="J17" s="5"/>
      <c r="K17" s="5"/>
      <c r="M17" s="5"/>
      <c r="N17" s="5"/>
      <c r="O17" s="39"/>
      <c r="P17" s="39"/>
      <c r="Q17" s="39"/>
      <c r="R17" s="39">
        <v>96</v>
      </c>
      <c r="V17" s="2">
        <v>20</v>
      </c>
      <c r="W17" s="2">
        <v>34</v>
      </c>
    </row>
    <row r="18" spans="1:22" ht="11.25">
      <c r="A18" s="82"/>
      <c r="B18" s="17">
        <f>IF(D13&gt;M21,"Virhesyöttö: Liikaa polttoainetta","")&amp;IF(AND(D13&lt;L21,D13&lt;&gt;0),"Varoitus: Kovin vähän polttoainetta","")</f>
      </c>
      <c r="K18" s="5"/>
      <c r="M18" s="5"/>
      <c r="N18" s="5"/>
      <c r="V18" s="2">
        <f>T19*V16/100</f>
        <v>0.225</v>
      </c>
    </row>
    <row r="19" spans="1:23" ht="11.25">
      <c r="A19" s="82"/>
      <c r="B19" s="17"/>
      <c r="K19" s="5"/>
      <c r="M19" s="16">
        <v>450</v>
      </c>
      <c r="N19" s="15" t="s">
        <v>9</v>
      </c>
      <c r="T19" s="2">
        <v>1.25</v>
      </c>
      <c r="V19" s="53">
        <f>T19*V17/100</f>
        <v>0.25</v>
      </c>
      <c r="W19" s="53">
        <f>T19*W17/100</f>
        <v>0.425</v>
      </c>
    </row>
    <row r="20" spans="1:14" ht="11.25">
      <c r="A20" s="82"/>
      <c r="B20" s="17"/>
      <c r="M20" s="55">
        <f>D23</f>
        <v>5</v>
      </c>
      <c r="N20" s="15" t="s">
        <v>20</v>
      </c>
    </row>
    <row r="21" spans="1:14" ht="11.25">
      <c r="A21" s="82"/>
      <c r="L21" s="2">
        <v>6</v>
      </c>
      <c r="M21" s="55">
        <f>D24</f>
        <v>67</v>
      </c>
      <c r="N21" s="15" t="s">
        <v>21</v>
      </c>
    </row>
    <row r="22" spans="2:14" ht="11.25">
      <c r="B22" s="36" t="s">
        <v>28</v>
      </c>
      <c r="C22" s="57"/>
      <c r="D22" s="74">
        <v>400</v>
      </c>
      <c r="E22" s="57" t="s">
        <v>23</v>
      </c>
      <c r="F22" s="37"/>
      <c r="L22" s="2">
        <f aca="true" t="shared" si="5" ref="L22:M25">O6</f>
        <v>288</v>
      </c>
      <c r="M22" s="2">
        <f t="shared" si="5"/>
        <v>0.354</v>
      </c>
      <c r="N22" s="15" t="s">
        <v>10</v>
      </c>
    </row>
    <row r="23" spans="2:14" ht="11.25">
      <c r="B23" s="38" t="s">
        <v>30</v>
      </c>
      <c r="C23" s="39"/>
      <c r="D23" s="75">
        <v>5</v>
      </c>
      <c r="E23" s="39" t="s">
        <v>23</v>
      </c>
      <c r="F23" s="40"/>
      <c r="L23" s="2">
        <f t="shared" si="5"/>
        <v>400</v>
      </c>
      <c r="M23" s="2">
        <f t="shared" si="5"/>
        <v>0.354</v>
      </c>
      <c r="N23" s="15" t="s">
        <v>11</v>
      </c>
    </row>
    <row r="24" spans="2:14" ht="11.25">
      <c r="B24" s="41" t="s">
        <v>31</v>
      </c>
      <c r="C24" s="3"/>
      <c r="D24" s="76">
        <v>67</v>
      </c>
      <c r="E24" s="3" t="s">
        <v>29</v>
      </c>
      <c r="F24" s="42"/>
      <c r="L24" s="2">
        <f t="shared" si="5"/>
        <v>400</v>
      </c>
      <c r="M24" s="2">
        <f t="shared" si="5"/>
        <v>0.422</v>
      </c>
      <c r="N24" s="15" t="s">
        <v>12</v>
      </c>
    </row>
    <row r="25" spans="2:14" ht="12" customHeight="1">
      <c r="B25" s="36" t="s">
        <v>24</v>
      </c>
      <c r="C25" s="57"/>
      <c r="D25" s="57"/>
      <c r="E25" s="57"/>
      <c r="F25" s="37"/>
      <c r="L25" s="2">
        <f t="shared" si="5"/>
        <v>288</v>
      </c>
      <c r="M25" s="2">
        <f t="shared" si="5"/>
        <v>0.422</v>
      </c>
      <c r="N25" s="15" t="s">
        <v>13</v>
      </c>
    </row>
    <row r="26" spans="2:14" ht="11.25">
      <c r="B26" s="58" t="s">
        <v>25</v>
      </c>
      <c r="C26" s="39"/>
      <c r="D26" s="75">
        <v>354</v>
      </c>
      <c r="E26" s="39" t="s">
        <v>27</v>
      </c>
      <c r="F26" s="40"/>
      <c r="M26" s="54">
        <f>MIN(M12:M13)</f>
        <v>0.35598536934724784</v>
      </c>
      <c r="N26" s="15" t="s">
        <v>14</v>
      </c>
    </row>
    <row r="27" spans="2:14" ht="11.25">
      <c r="B27" s="58" t="s">
        <v>26</v>
      </c>
      <c r="C27" s="39"/>
      <c r="D27" s="75">
        <v>422</v>
      </c>
      <c r="E27" s="39" t="s">
        <v>27</v>
      </c>
      <c r="F27" s="40"/>
      <c r="M27" s="2" t="b">
        <f>M26&lt;M22</f>
        <v>0</v>
      </c>
      <c r="N27" s="15" t="s">
        <v>15</v>
      </c>
    </row>
    <row r="28" spans="2:14" ht="5.25" customHeight="1">
      <c r="B28" s="41"/>
      <c r="C28" s="3"/>
      <c r="D28" s="3"/>
      <c r="E28" s="3"/>
      <c r="F28" s="42"/>
      <c r="N28" s="15"/>
    </row>
    <row r="29" spans="2:14" ht="11.25">
      <c r="B29" s="77" t="s">
        <v>38</v>
      </c>
      <c r="M29" s="2" t="b">
        <f>OR(AND(L15&lt;L24,L15&gt;(L23+(L24-L23)*(M15-M23)/(M24-M23))),AND(L17&lt;L24,L17&gt;(L23+(L24-L23)*(M17-M23)/(M24-M23))))</f>
        <v>0</v>
      </c>
      <c r="N29" s="15" t="s">
        <v>16</v>
      </c>
    </row>
  </sheetData>
  <sheetProtection sheet="1" objects="1" scenarios="1"/>
  <printOptions horizontalCentered="1"/>
  <pageMargins left="0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Lentokoneen massakeskiön asema</dc:title>
  <dc:subject>Weight &amp; Balance</dc:subject>
  <dc:creator>Aki Suokas</dc:creator>
  <cp:keywords/>
  <dc:description/>
  <cp:lastModifiedBy>Aki</cp:lastModifiedBy>
  <cp:lastPrinted>2002-10-29T18:38:59Z</cp:lastPrinted>
  <dcterms:created xsi:type="dcterms:W3CDTF">2000-02-02T20:17:47Z</dcterms:created>
  <dcterms:modified xsi:type="dcterms:W3CDTF">2002-11-04T15:51:13Z</dcterms:modified>
  <cp:category/>
  <cp:version/>
  <cp:contentType/>
  <cp:contentStatus/>
</cp:coreProperties>
</file>